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OY-BLB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<sst xmlns="http://schemas.openxmlformats.org/spreadsheetml/2006/main" count="91" uniqueCount="76">
  <si>
    <t>over 50 ft. Obstacle</t>
  </si>
  <si>
    <t>density alt.:</t>
  </si>
  <si>
    <t>density alt.</t>
  </si>
  <si>
    <t>over 50 ft. Obst.</t>
  </si>
  <si>
    <t>Density Altitude (feet)</t>
  </si>
  <si>
    <t>PA</t>
  </si>
  <si>
    <r>
      <t>T</t>
    </r>
    <r>
      <rPr>
        <b/>
        <vertAlign val="subscript"/>
        <sz val="10"/>
        <rFont val="Arial"/>
        <family val="2"/>
      </rPr>
      <t>isa</t>
    </r>
  </si>
  <si>
    <t>Startdistance (til 50') i feet</t>
  </si>
  <si>
    <t>Landingsdistance (fra 50') i feet</t>
  </si>
  <si>
    <t>KORREKTIONER: (if. AIC B 38/02)</t>
  </si>
  <si>
    <t>%</t>
  </si>
  <si>
    <t>Tørt græs (max 20 cm):+20%</t>
  </si>
  <si>
    <t>Fast kort græs (5-10 cm.):+10%</t>
  </si>
  <si>
    <t>Vådt græs (max 20 cm):+30%</t>
  </si>
  <si>
    <t>Blød undergrund el. sne +25%</t>
  </si>
  <si>
    <t>Våd sne, +10% pr. cm, max 5 cm.</t>
  </si>
  <si>
    <t>Meget kort fedtet græs: +60%</t>
  </si>
  <si>
    <t>Frossen sne, +5% pr. cm, max 10 cm.</t>
  </si>
  <si>
    <t>Vind: Medvindskomponent</t>
  </si>
  <si>
    <t>på 10% af finalefart: +20%</t>
  </si>
  <si>
    <t>Temperatur</t>
  </si>
  <si>
    <t>Vægt: +10%</t>
  </si>
  <si>
    <t xml:space="preserve"> + 1 % pr. grad C over 15 grader</t>
  </si>
  <si>
    <t>Hældning nedad: +5% pr.grad</t>
  </si>
  <si>
    <t xml:space="preserve"> + 5% pr.10 grader C over 15 grader</t>
  </si>
  <si>
    <t>KORRIGERERET LANDINGSDISTANCE</t>
  </si>
  <si>
    <t>KRÆVET BANELÆNGDE (faktor 1,43)</t>
  </si>
  <si>
    <t>(BL 5-15)</t>
  </si>
  <si>
    <t>KORRIGERERET STARTDISTANCE</t>
  </si>
  <si>
    <t>KRÆVET BANELÆNGDE (faktor 1,25)</t>
  </si>
  <si>
    <t>Startsted:</t>
  </si>
  <si>
    <t>Landingssted:</t>
  </si>
  <si>
    <t>ekrk</t>
  </si>
  <si>
    <t>Startberegning</t>
  </si>
  <si>
    <t>Landingsberegning</t>
  </si>
  <si>
    <t>Starttabel</t>
  </si>
  <si>
    <t>Landingstabel</t>
  </si>
  <si>
    <t>Aerodrome Elevation i feet:</t>
  </si>
  <si>
    <t>QNH:</t>
  </si>
  <si>
    <t>Temperatur C:</t>
  </si>
  <si>
    <t>Blød overflade +25-50% minimum</t>
  </si>
  <si>
    <t>Langt græs (10-20 cm), +25%</t>
  </si>
  <si>
    <t>Vand/snesjap, +20% pr.cm, max 2,5 cm.</t>
  </si>
  <si>
    <t>Tillæg:</t>
  </si>
  <si>
    <t>Fradrag:</t>
  </si>
  <si>
    <t>START *)</t>
  </si>
  <si>
    <t>LANDING *)</t>
  </si>
  <si>
    <t>KORREKTIONER: (if. AIC B 11/05)</t>
  </si>
  <si>
    <t>Hældning opad på 1% (ca 1:60) +10%</t>
  </si>
  <si>
    <t>Medvind, + 4% pr. WC, ***)</t>
  </si>
  <si>
    <r>
      <t xml:space="preserve">Modvind, ****) </t>
    </r>
    <r>
      <rPr>
        <sz val="8"/>
        <rFont val="Arial"/>
        <family val="2"/>
      </rPr>
      <t>(ellers  - 1% pr. XWC (BL 5-15)</t>
    </r>
    <r>
      <rPr>
        <sz val="10"/>
        <rFont val="Arial"/>
        <family val="0"/>
      </rPr>
      <t>)</t>
    </r>
  </si>
  <si>
    <t>***) Der bør tages udgangspunkt i en medvindskomponent på 150 % i startretningen.</t>
  </si>
  <si>
    <t>****) Brug alene oplysningerne fra flyets håndbog eller undlad helt at fratrække værdier for modvindskomponenten.</t>
  </si>
  <si>
    <t>Landingsdistance (fra 50') i meter **)</t>
  </si>
  <si>
    <t>**)Landingsdistance (fra 50') i meter er beregnet udfra aktuel density altitude</t>
  </si>
  <si>
    <t>Bemærkninger Start:</t>
  </si>
  <si>
    <t>Bemærkninger Landing:</t>
  </si>
  <si>
    <t>Tastefelter</t>
  </si>
  <si>
    <t>Fratræk 1% pr. % under MTOM</t>
  </si>
  <si>
    <t>Startdistance (til 50') iflg. POH i meter **)</t>
  </si>
  <si>
    <t>**)Startdistance (til 50') iflg. POH i meter er beregnet udfra aktuel density altitude</t>
  </si>
  <si>
    <t>Data er RFKs bedste tilnærmelse og skal betragtes som vejledende. Anvendelse sker på pilotens eget ansvar.</t>
  </si>
  <si>
    <t>OY-BLB</t>
  </si>
  <si>
    <t>Start &amp; Landingsberegning for OY-BLB</t>
  </si>
  <si>
    <t>*)Vægt: max 1056 kg; Flaps: 25°; Power: max før bremsen løsnes; Bane: hård, vandret, tør; Vind: nul.</t>
  </si>
  <si>
    <r>
      <t>Note:</t>
    </r>
    <r>
      <rPr>
        <sz val="10"/>
        <rFont val="Arial"/>
        <family val="0"/>
      </rPr>
      <t xml:space="preserve"> POH angiver optimistiske startpræstationer, som kun kan realiseres med en hastighed, der ligger meget tæt på stall. </t>
    </r>
  </si>
  <si>
    <t>Skemaets beregninger er baseret på POH med et tillæg på 15%, i overensstemmelse med BL 5-15.</t>
  </si>
  <si>
    <t>*)Vægt: max 1056 kg; Flaps: 40°; Power: tomgang; Bane: hård, vandret, tør; Vind: nul; Nedbremsning: max.</t>
  </si>
  <si>
    <t>Flyvægt mlm 1056 og 900 kg (ellers MTOM)</t>
  </si>
  <si>
    <t xml:space="preserve">   For flyvægt over 1056 kg. kan ikke beregnes. Hvis intet angives eller vægten angives under 900 benyttes 1056 kg.</t>
  </si>
  <si>
    <t>difference</t>
  </si>
  <si>
    <t>Til C11-C18</t>
  </si>
  <si>
    <t>Startvægt kg:</t>
  </si>
  <si>
    <t>Flyets vægt ml. 1056 og 900 kg.</t>
  </si>
  <si>
    <t>Startbane i meter (TODA):</t>
  </si>
  <si>
    <t>Landingsbane i meter (LDA):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</si>
</sst>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ntigoni Med"/>
      <family val="2"/>
    </font>
    <font>
      <b/>
      <sz val="16"/>
      <name val="Arial"/>
      <family val="2"/>
    </font>
    <font>
      <sz val="11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1"/>
      </left>
      <right style="thin">
        <color indexed="9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21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9"/>
      </top>
      <bottom style="thin">
        <color indexed="21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3" fontId="0" fillId="0" borderId="7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3" borderId="19" xfId="0" applyFill="1" applyBorder="1" applyAlignment="1">
      <alignment/>
    </xf>
    <xf numFmtId="0" fontId="5" fillId="4" borderId="0" xfId="0" applyFont="1" applyFill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5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1" fillId="3" borderId="28" xfId="0" applyFont="1" applyFill="1" applyBorder="1" applyAlignment="1">
      <alignment textRotation="34"/>
    </xf>
    <xf numFmtId="0" fontId="1" fillId="2" borderId="28" xfId="0" applyFont="1" applyFill="1" applyBorder="1" applyAlignment="1">
      <alignment textRotation="34"/>
    </xf>
    <xf numFmtId="0" fontId="0" fillId="2" borderId="0" xfId="0" applyFill="1" applyAlignment="1">
      <alignment horizont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6" borderId="32" xfId="0" applyFill="1" applyBorder="1" applyAlignment="1" applyProtection="1">
      <alignment/>
      <protection locked="0"/>
    </xf>
    <xf numFmtId="0" fontId="0" fillId="6" borderId="33" xfId="0" applyFill="1" applyBorder="1" applyAlignment="1" applyProtection="1">
      <alignment/>
      <protection locked="0"/>
    </xf>
    <xf numFmtId="3" fontId="0" fillId="6" borderId="33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3" borderId="34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1" fontId="0" fillId="2" borderId="35" xfId="0" applyNumberFormat="1" applyFill="1" applyBorder="1" applyAlignment="1" applyProtection="1">
      <alignment/>
      <protection/>
    </xf>
    <xf numFmtId="1" fontId="0" fillId="2" borderId="10" xfId="0" applyNumberFormat="1" applyFill="1" applyBorder="1" applyAlignment="1" applyProtection="1">
      <alignment/>
      <protection/>
    </xf>
    <xf numFmtId="1" fontId="0" fillId="3" borderId="36" xfId="0" applyNumberFormat="1" applyFill="1" applyBorder="1" applyAlignment="1" applyProtection="1">
      <alignment/>
      <protection/>
    </xf>
    <xf numFmtId="1" fontId="0" fillId="3" borderId="37" xfId="0" applyNumberFormat="1" applyFill="1" applyBorder="1" applyAlignment="1" applyProtection="1">
      <alignment/>
      <protection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" fontId="0" fillId="0" borderId="0" xfId="0" applyNumberFormat="1" applyAlignment="1">
      <alignment/>
    </xf>
    <xf numFmtId="1" fontId="1" fillId="3" borderId="33" xfId="0" applyNumberFormat="1" applyFont="1" applyFill="1" applyBorder="1" applyAlignment="1">
      <alignment/>
    </xf>
    <xf numFmtId="1" fontId="0" fillId="6" borderId="33" xfId="0" applyNumberFormat="1" applyFill="1" applyBorder="1" applyAlignment="1" applyProtection="1">
      <alignment/>
      <protection locked="0"/>
    </xf>
    <xf numFmtId="1" fontId="0" fillId="2" borderId="38" xfId="0" applyNumberFormat="1" applyFill="1" applyBorder="1" applyAlignment="1">
      <alignment/>
    </xf>
    <xf numFmtId="1" fontId="0" fillId="2" borderId="39" xfId="0" applyNumberFormat="1" applyFill="1" applyBorder="1" applyAlignment="1">
      <alignment/>
    </xf>
    <xf numFmtId="1" fontId="0" fillId="2" borderId="40" xfId="0" applyNumberFormat="1" applyFill="1" applyBorder="1" applyAlignment="1">
      <alignment/>
    </xf>
    <xf numFmtId="1" fontId="0" fillId="2" borderId="41" xfId="0" applyNumberFormat="1" applyFill="1" applyBorder="1" applyAlignment="1">
      <alignment/>
    </xf>
    <xf numFmtId="1" fontId="0" fillId="2" borderId="4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43" xfId="0" applyNumberFormat="1" applyFill="1" applyBorder="1" applyAlignment="1">
      <alignment/>
    </xf>
    <xf numFmtId="1" fontId="0" fillId="5" borderId="44" xfId="0" applyNumberFormat="1" applyFill="1" applyBorder="1" applyAlignment="1">
      <alignment/>
    </xf>
    <xf numFmtId="1" fontId="0" fillId="5" borderId="45" xfId="0" applyNumberFormat="1" applyFill="1" applyBorder="1" applyAlignment="1">
      <alignment/>
    </xf>
    <xf numFmtId="1" fontId="0" fillId="5" borderId="4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5" fillId="4" borderId="0" xfId="0" applyNumberFormat="1" applyFont="1" applyFill="1" applyAlignment="1">
      <alignment/>
    </xf>
    <xf numFmtId="1" fontId="1" fillId="2" borderId="32" xfId="0" applyNumberFormat="1" applyFont="1" applyFill="1" applyBorder="1" applyAlignment="1">
      <alignment/>
    </xf>
    <xf numFmtId="1" fontId="0" fillId="6" borderId="32" xfId="0" applyNumberFormat="1" applyFill="1" applyBorder="1" applyAlignment="1" applyProtection="1">
      <alignment/>
      <protection locked="0"/>
    </xf>
    <xf numFmtId="1" fontId="0" fillId="3" borderId="0" xfId="0" applyNumberFormat="1" applyFill="1" applyAlignment="1">
      <alignment/>
    </xf>
    <xf numFmtId="1" fontId="0" fillId="3" borderId="47" xfId="0" applyNumberFormat="1" applyFill="1" applyBorder="1" applyAlignment="1">
      <alignment/>
    </xf>
    <xf numFmtId="1" fontId="0" fillId="3" borderId="48" xfId="0" applyNumberFormat="1" applyFill="1" applyBorder="1" applyAlignment="1">
      <alignment/>
    </xf>
    <xf numFmtId="1" fontId="0" fillId="3" borderId="44" xfId="0" applyNumberFormat="1" applyFill="1" applyBorder="1" applyAlignment="1">
      <alignment/>
    </xf>
    <xf numFmtId="1" fontId="0" fillId="3" borderId="46" xfId="0" applyNumberFormat="1" applyFill="1" applyBorder="1" applyAlignment="1">
      <alignment/>
    </xf>
    <xf numFmtId="1" fontId="0" fillId="3" borderId="45" xfId="0" applyNumberFormat="1" applyFill="1" applyBorder="1" applyAlignment="1">
      <alignment/>
    </xf>
    <xf numFmtId="1" fontId="0" fillId="3" borderId="49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1" fontId="0" fillId="0" borderId="0" xfId="0" applyNumberFormat="1" applyBorder="1" applyAlignment="1" applyProtection="1">
      <alignment/>
      <protection hidden="1"/>
    </xf>
    <xf numFmtId="1" fontId="0" fillId="0" borderId="7" xfId="0" applyNumberFormat="1" applyBorder="1" applyAlignment="1" applyProtection="1">
      <alignment/>
      <protection hidden="1"/>
    </xf>
    <xf numFmtId="0" fontId="7" fillId="0" borderId="0" xfId="0" applyFont="1" applyAlignment="1">
      <alignment/>
    </xf>
    <xf numFmtId="3" fontId="0" fillId="3" borderId="30" xfId="0" applyNumberFormat="1" applyFill="1" applyBorder="1" applyAlignment="1">
      <alignment horizontal="center"/>
    </xf>
    <xf numFmtId="0" fontId="0" fillId="2" borderId="5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1">
      <selection activeCell="G8" sqref="G8"/>
    </sheetView>
  </sheetViews>
  <sheetFormatPr defaultColWidth="9.140625" defaultRowHeight="12.75"/>
  <cols>
    <col min="1" max="1" width="7.28125" style="0" customWidth="1"/>
    <col min="2" max="2" width="38.7109375" style="0" customWidth="1"/>
    <col min="3" max="3" width="10.140625" style="73" customWidth="1"/>
    <col min="4" max="4" width="5.7109375" style="0" customWidth="1"/>
    <col min="5" max="5" width="7.7109375" style="0" customWidth="1"/>
    <col min="6" max="6" width="33.8515625" style="0" customWidth="1"/>
    <col min="7" max="7" width="10.140625" style="73" customWidth="1"/>
    <col min="9" max="9" width="23.57421875" style="0" customWidth="1"/>
    <col min="10" max="10" width="5.57421875" style="0" customWidth="1"/>
  </cols>
  <sheetData>
    <row r="1" ht="20.25">
      <c r="B1" s="57" t="s">
        <v>63</v>
      </c>
    </row>
    <row r="2" ht="14.25">
      <c r="B2" s="101" t="s">
        <v>61</v>
      </c>
    </row>
    <row r="4" spans="3:7" ht="12.75">
      <c r="C4" s="74" t="s">
        <v>57</v>
      </c>
      <c r="G4" s="88" t="s">
        <v>57</v>
      </c>
    </row>
    <row r="5" spans="2:7" ht="12.75">
      <c r="B5" s="17" t="s">
        <v>30</v>
      </c>
      <c r="C5" s="75" t="s">
        <v>32</v>
      </c>
      <c r="F5" s="21" t="s">
        <v>31</v>
      </c>
      <c r="G5" s="89"/>
    </row>
    <row r="6" spans="2:7" ht="12.75">
      <c r="B6" s="19" t="s">
        <v>74</v>
      </c>
      <c r="C6" s="75">
        <v>1500</v>
      </c>
      <c r="F6" s="58" t="s">
        <v>75</v>
      </c>
      <c r="G6" s="89"/>
    </row>
    <row r="7" spans="2:7" ht="12.75">
      <c r="B7" s="17" t="s">
        <v>37</v>
      </c>
      <c r="C7" s="75">
        <v>146</v>
      </c>
      <c r="F7" s="21" t="s">
        <v>37</v>
      </c>
      <c r="G7" s="89"/>
    </row>
    <row r="8" spans="2:7" ht="12.75">
      <c r="B8" s="19" t="s">
        <v>38</v>
      </c>
      <c r="C8" s="75">
        <v>1013</v>
      </c>
      <c r="F8" s="58" t="s">
        <v>38</v>
      </c>
      <c r="G8" s="89">
        <v>1013</v>
      </c>
    </row>
    <row r="9" spans="2:7" ht="12.75">
      <c r="B9" s="20" t="s">
        <v>39</v>
      </c>
      <c r="C9" s="75">
        <v>15</v>
      </c>
      <c r="F9" s="22" t="s">
        <v>39</v>
      </c>
      <c r="G9" s="89">
        <v>15</v>
      </c>
    </row>
    <row r="10" spans="2:3" ht="12.75">
      <c r="B10" s="19" t="s">
        <v>68</v>
      </c>
      <c r="C10" s="61"/>
    </row>
    <row r="11" spans="1:5" ht="41.25">
      <c r="A11" s="51" t="s">
        <v>57</v>
      </c>
      <c r="E11" s="50" t="s">
        <v>57</v>
      </c>
    </row>
    <row r="12" spans="1:7" ht="15.75">
      <c r="A12" s="18"/>
      <c r="B12" s="25" t="str">
        <f>UPPER(C5)</f>
        <v>EKRK</v>
      </c>
      <c r="C12" s="76"/>
      <c r="E12" s="53"/>
      <c r="F12" s="28">
        <f>UPPER(G5)</f>
      </c>
      <c r="G12" s="90"/>
    </row>
    <row r="13" spans="1:7" ht="12.75">
      <c r="A13" s="18"/>
      <c r="B13" s="16"/>
      <c r="C13" s="77"/>
      <c r="E13" s="53"/>
      <c r="F13" s="27"/>
      <c r="G13" s="90"/>
    </row>
    <row r="14" spans="1:7" ht="12.75">
      <c r="A14" s="18"/>
      <c r="B14" s="26" t="s">
        <v>45</v>
      </c>
      <c r="C14" s="78"/>
      <c r="E14" s="53"/>
      <c r="F14" s="29" t="s">
        <v>46</v>
      </c>
      <c r="G14" s="90"/>
    </row>
    <row r="15" spans="1:7" ht="12.75">
      <c r="A15" s="23"/>
      <c r="B15" s="32" t="s">
        <v>7</v>
      </c>
      <c r="C15" s="79">
        <f>C16*3.3</f>
        <v>2064.976584</v>
      </c>
      <c r="E15" s="54"/>
      <c r="F15" s="34" t="s">
        <v>8</v>
      </c>
      <c r="G15" s="91">
        <f>G16*3.3</f>
        <v>1263.8999999999999</v>
      </c>
    </row>
    <row r="16" spans="1:7" ht="12.75">
      <c r="A16" s="23"/>
      <c r="B16" s="33" t="s">
        <v>59</v>
      </c>
      <c r="C16" s="80">
        <f>'OY-BLB'!C71</f>
        <v>625.75048</v>
      </c>
      <c r="E16" s="54"/>
      <c r="F16" s="35" t="s">
        <v>53</v>
      </c>
      <c r="G16" s="92">
        <f>'OY-BLB'!H71</f>
        <v>383</v>
      </c>
    </row>
    <row r="17" spans="1:7" ht="12.75">
      <c r="A17" s="23"/>
      <c r="B17" s="23"/>
      <c r="C17" s="81"/>
      <c r="E17" s="54"/>
      <c r="F17" s="27"/>
      <c r="G17" s="90"/>
    </row>
    <row r="18" spans="1:7" ht="12.75">
      <c r="A18" s="23"/>
      <c r="B18" s="23" t="s">
        <v>9</v>
      </c>
      <c r="C18" s="81"/>
      <c r="E18" s="54"/>
      <c r="F18" s="27" t="s">
        <v>47</v>
      </c>
      <c r="G18" s="90"/>
    </row>
    <row r="19" spans="1:9" ht="12.75">
      <c r="A19" s="52" t="s">
        <v>10</v>
      </c>
      <c r="B19" s="23"/>
      <c r="C19" s="81"/>
      <c r="E19" s="55" t="s">
        <v>10</v>
      </c>
      <c r="F19" s="27"/>
      <c r="G19" s="90"/>
      <c r="H19" s="2"/>
      <c r="I19" s="2"/>
    </row>
    <row r="20" spans="1:9" ht="12.75">
      <c r="A20" s="23"/>
      <c r="B20" s="24" t="s">
        <v>43</v>
      </c>
      <c r="C20" s="81"/>
      <c r="E20" s="54"/>
      <c r="F20" s="27"/>
      <c r="G20" s="90"/>
      <c r="H20" s="2"/>
      <c r="I20" s="2"/>
    </row>
    <row r="21" spans="1:9" ht="12.75">
      <c r="A21" s="60"/>
      <c r="B21" s="39" t="s">
        <v>12</v>
      </c>
      <c r="C21" s="82">
        <f>C16*(1+(A21/100))</f>
        <v>625.75048</v>
      </c>
      <c r="E21" s="59"/>
      <c r="F21" s="47" t="s">
        <v>11</v>
      </c>
      <c r="G21" s="93">
        <f>G16*(1+(E21/100))</f>
        <v>383</v>
      </c>
      <c r="H21" s="2"/>
      <c r="I21" s="2"/>
    </row>
    <row r="22" spans="1:7" ht="12.75">
      <c r="A22" s="60"/>
      <c r="B22" s="16" t="s">
        <v>41</v>
      </c>
      <c r="C22" s="77">
        <f>C21*(1+(A22/100))</f>
        <v>625.75048</v>
      </c>
      <c r="E22" s="59"/>
      <c r="F22" s="48" t="s">
        <v>13</v>
      </c>
      <c r="G22" s="94">
        <f>G21*(1+(E22/100))</f>
        <v>383</v>
      </c>
    </row>
    <row r="23" spans="1:9" ht="12.75">
      <c r="A23" s="60"/>
      <c r="B23" s="16" t="s">
        <v>40</v>
      </c>
      <c r="C23" s="77">
        <f>C22*(1+(A23/100))</f>
        <v>625.75048</v>
      </c>
      <c r="E23" s="56"/>
      <c r="F23" s="27"/>
      <c r="G23" s="90"/>
      <c r="H23" s="2"/>
      <c r="I23" s="2"/>
    </row>
    <row r="24" spans="1:8" ht="12.75">
      <c r="A24" s="60"/>
      <c r="B24" s="16" t="s">
        <v>42</v>
      </c>
      <c r="C24" s="77">
        <f>C23*(1+(A24/100))</f>
        <v>625.75048</v>
      </c>
      <c r="E24" s="59"/>
      <c r="F24" s="47" t="s">
        <v>14</v>
      </c>
      <c r="G24" s="93">
        <f>G22*(1+(E24/100))</f>
        <v>383</v>
      </c>
      <c r="H24" s="1"/>
    </row>
    <row r="25" spans="1:8" ht="12.75">
      <c r="A25" s="60"/>
      <c r="B25" s="16" t="s">
        <v>15</v>
      </c>
      <c r="C25" s="77">
        <f>C24*(1+(A25/100))</f>
        <v>625.75048</v>
      </c>
      <c r="E25" s="59"/>
      <c r="F25" s="48" t="s">
        <v>16</v>
      </c>
      <c r="G25" s="94">
        <f>G24*(1+(E25/100))</f>
        <v>383</v>
      </c>
      <c r="H25" s="1"/>
    </row>
    <row r="26" spans="1:7" ht="12.75">
      <c r="A26" s="60"/>
      <c r="B26" s="40" t="s">
        <v>17</v>
      </c>
      <c r="C26" s="78">
        <f>C25*(1+(A26/100))</f>
        <v>625.75048</v>
      </c>
      <c r="E26" s="56"/>
      <c r="F26" s="27"/>
      <c r="G26" s="90"/>
    </row>
    <row r="27" spans="1:7" ht="12.75">
      <c r="A27" s="23"/>
      <c r="B27" s="23"/>
      <c r="C27" s="81"/>
      <c r="E27" s="63"/>
      <c r="F27" s="42" t="s">
        <v>18</v>
      </c>
      <c r="G27" s="93"/>
    </row>
    <row r="28" spans="1:7" ht="12.75">
      <c r="A28" s="103">
        <f>IF((C9-15)&gt;0,C9-15,0)</f>
        <v>0</v>
      </c>
      <c r="B28" s="41" t="s">
        <v>22</v>
      </c>
      <c r="C28" s="82">
        <f>C26*(1+(A28/100))</f>
        <v>625.75048</v>
      </c>
      <c r="E28" s="59"/>
      <c r="F28" s="30" t="s">
        <v>19</v>
      </c>
      <c r="G28" s="95">
        <f>G25*(1+(E28/100))</f>
        <v>383</v>
      </c>
    </row>
    <row r="29" spans="1:7" ht="12.75">
      <c r="A29" s="23"/>
      <c r="B29" s="23"/>
      <c r="C29" s="81"/>
      <c r="E29" s="59"/>
      <c r="F29" s="30" t="s">
        <v>21</v>
      </c>
      <c r="G29" s="95">
        <f>G28*(1+(E29/100))</f>
        <v>383</v>
      </c>
    </row>
    <row r="30" spans="1:7" ht="12.75">
      <c r="A30" s="60"/>
      <c r="B30" s="39" t="s">
        <v>48</v>
      </c>
      <c r="C30" s="82">
        <f>C28*(1+(A30/100))</f>
        <v>625.75048</v>
      </c>
      <c r="E30" s="59"/>
      <c r="F30" s="48" t="s">
        <v>23</v>
      </c>
      <c r="G30" s="94">
        <f>G29*(1+(E30/100))</f>
        <v>383</v>
      </c>
    </row>
    <row r="31" spans="1:7" ht="12.75">
      <c r="A31" s="60"/>
      <c r="B31" s="40" t="s">
        <v>49</v>
      </c>
      <c r="C31" s="78">
        <f>C30*(1+(A31/100))</f>
        <v>625.75048</v>
      </c>
      <c r="E31" s="54"/>
      <c r="F31" s="27"/>
      <c r="G31" s="90"/>
    </row>
    <row r="32" spans="1:7" ht="12.75">
      <c r="A32" s="62"/>
      <c r="B32" s="23"/>
      <c r="C32" s="81"/>
      <c r="E32" s="54"/>
      <c r="F32" s="30" t="s">
        <v>20</v>
      </c>
      <c r="G32" s="90"/>
    </row>
    <row r="33" spans="1:7" ht="12.75">
      <c r="A33" s="64"/>
      <c r="B33" s="24" t="s">
        <v>44</v>
      </c>
      <c r="C33" s="81"/>
      <c r="E33" s="102">
        <f>IF((G9-15)&gt;=0,(G9-15)/2,0)</f>
        <v>0</v>
      </c>
      <c r="F33" s="49" t="s">
        <v>24</v>
      </c>
      <c r="G33" s="96">
        <f>G30*(1+(E33/100))</f>
        <v>383</v>
      </c>
    </row>
    <row r="34" spans="1:7" ht="12.75">
      <c r="A34" s="60"/>
      <c r="B34" s="39" t="s">
        <v>58</v>
      </c>
      <c r="C34" s="82">
        <f>C31*(1-(A34/100))</f>
        <v>625.75048</v>
      </c>
      <c r="E34" s="54"/>
      <c r="F34" s="27"/>
      <c r="G34" s="90"/>
    </row>
    <row r="35" spans="1:7" ht="12.75">
      <c r="A35" s="61"/>
      <c r="B35" s="40" t="s">
        <v>50</v>
      </c>
      <c r="C35" s="78">
        <f>C34*(1-(A35/100))</f>
        <v>625.75048</v>
      </c>
      <c r="E35" s="54"/>
      <c r="F35" s="36" t="s">
        <v>25</v>
      </c>
      <c r="G35" s="82">
        <f>G33*(1+(E35/100))</f>
        <v>383</v>
      </c>
    </row>
    <row r="36" spans="1:7" ht="12.75">
      <c r="A36" s="23"/>
      <c r="B36" s="23"/>
      <c r="C36" s="81"/>
      <c r="E36" s="54"/>
      <c r="F36" s="37"/>
      <c r="G36" s="77"/>
    </row>
    <row r="37" spans="1:7" ht="12.75">
      <c r="A37" s="23"/>
      <c r="B37" s="44" t="s">
        <v>28</v>
      </c>
      <c r="C37" s="83">
        <f>C35</f>
        <v>625.75048</v>
      </c>
      <c r="E37" s="54"/>
      <c r="F37" s="38" t="s">
        <v>26</v>
      </c>
      <c r="G37" s="78">
        <f>G35*1.43</f>
        <v>547.6899999999999</v>
      </c>
    </row>
    <row r="38" spans="1:7" ht="12.75">
      <c r="A38" s="23"/>
      <c r="B38" s="45"/>
      <c r="C38" s="84"/>
      <c r="E38" s="54"/>
      <c r="F38" s="27"/>
      <c r="G38" s="90"/>
    </row>
    <row r="39" spans="1:7" ht="12.75">
      <c r="A39" s="23"/>
      <c r="B39" s="45" t="s">
        <v>29</v>
      </c>
      <c r="C39" s="84">
        <f>C37*1.25</f>
        <v>782.1881000000001</v>
      </c>
      <c r="E39" s="54"/>
      <c r="F39" s="31" t="str">
        <f>IF(G39&gt;G37,"BANE TIL RÅDIGHED","OBS!!! OBS!!! BANE FOR KORT!!!")</f>
        <v>OBS!!! OBS!!! BANE FOR KORT!!!</v>
      </c>
      <c r="G39" s="97">
        <f>G6</f>
        <v>0</v>
      </c>
    </row>
    <row r="40" spans="1:7" ht="15.75">
      <c r="A40" s="23"/>
      <c r="B40" s="46" t="s">
        <v>27</v>
      </c>
      <c r="C40" s="85"/>
      <c r="E40" s="43" t="str">
        <f>IF(G39&lt;G37,"OBS!!!"," ")</f>
        <v>OBS!!!</v>
      </c>
      <c r="F40" s="43" t="str">
        <f>IF(G39&lt;G37,"BANE FOR KORT!!! DO NOT FLY!!!","Go Fly")</f>
        <v>BANE FOR KORT!!! DO NOT FLY!!!</v>
      </c>
      <c r="G40" s="98"/>
    </row>
    <row r="41" spans="1:3" ht="12.75">
      <c r="A41" s="23"/>
      <c r="B41" s="24" t="str">
        <f>IF(C39&lt;C41,"BANE TIL RÅDIGHED","OBS!!! OBS!!! BANE FOR KORT!!!!")</f>
        <v>BANE TIL RÅDIGHED</v>
      </c>
      <c r="C41" s="86">
        <f>C6</f>
        <v>1500</v>
      </c>
    </row>
    <row r="42" spans="1:3" ht="15.75">
      <c r="A42" s="43" t="str">
        <f>IF(C41&lt;C39,"OBS!!!"," ")</f>
        <v> </v>
      </c>
      <c r="B42" s="43" t="str">
        <f>IF(C41&lt;C39,"BANE FOR KORT!!! DO NOT FLY!!!","Go Fly")</f>
        <v>Go Fly</v>
      </c>
      <c r="C42" s="87"/>
    </row>
    <row r="45" spans="2:7" ht="12.75">
      <c r="B45" s="69" t="s">
        <v>4</v>
      </c>
      <c r="C45" s="65">
        <f>C46+(120*(C9-C47))</f>
        <v>181.03999999999996</v>
      </c>
      <c r="F45" s="71" t="s">
        <v>4</v>
      </c>
      <c r="G45" s="67">
        <f>G46+(120*(G9-G47))</f>
        <v>0</v>
      </c>
    </row>
    <row r="46" spans="2:7" ht="12.75">
      <c r="B46" s="70" t="s">
        <v>5</v>
      </c>
      <c r="C46" s="66">
        <f>C7+(27*(1013-C8))</f>
        <v>146</v>
      </c>
      <c r="F46" s="72" t="s">
        <v>5</v>
      </c>
      <c r="G46" s="68">
        <f>G7+(27*(1013-G8))</f>
        <v>0</v>
      </c>
    </row>
    <row r="47" spans="2:7" ht="14.25">
      <c r="B47" s="69" t="s">
        <v>6</v>
      </c>
      <c r="C47" s="65">
        <f>15-(C7/500)</f>
        <v>14.708</v>
      </c>
      <c r="F47" s="71" t="s">
        <v>6</v>
      </c>
      <c r="G47" s="67">
        <f>15-(G7/500)</f>
        <v>15</v>
      </c>
    </row>
    <row r="49" ht="12.75">
      <c r="B49" s="2" t="s">
        <v>55</v>
      </c>
    </row>
    <row r="50" ht="12.75">
      <c r="B50" t="s">
        <v>64</v>
      </c>
    </row>
    <row r="51" ht="12.75">
      <c r="B51" t="s">
        <v>69</v>
      </c>
    </row>
    <row r="52" ht="12.75">
      <c r="B52" t="s">
        <v>60</v>
      </c>
    </row>
    <row r="53" ht="12.75">
      <c r="B53" t="s">
        <v>51</v>
      </c>
    </row>
    <row r="54" spans="1:2" ht="12.75">
      <c r="A54" s="15"/>
      <c r="B54" t="s">
        <v>52</v>
      </c>
    </row>
    <row r="56" ht="12.75">
      <c r="B56" s="2" t="s">
        <v>56</v>
      </c>
    </row>
    <row r="57" ht="12.75">
      <c r="B57" t="s">
        <v>67</v>
      </c>
    </row>
    <row r="58" ht="12.75">
      <c r="B58" t="s">
        <v>54</v>
      </c>
    </row>
    <row r="60" ht="12.75">
      <c r="B60" s="2" t="s">
        <v>65</v>
      </c>
    </row>
    <row r="61" ht="12.75">
      <c r="B61" t="s">
        <v>66</v>
      </c>
    </row>
    <row r="66" spans="3:12" ht="12.75" hidden="1">
      <c r="C66"/>
      <c r="G66"/>
      <c r="I66" t="s">
        <v>73</v>
      </c>
      <c r="L66" s="1">
        <f>C10</f>
        <v>0</v>
      </c>
    </row>
    <row r="67" spans="1:7" ht="12.75" hidden="1">
      <c r="A67" t="s">
        <v>62</v>
      </c>
      <c r="C67"/>
      <c r="G67"/>
    </row>
    <row r="68" spans="3:7" ht="12.75" hidden="1">
      <c r="C68"/>
      <c r="G68"/>
    </row>
    <row r="69" spans="1:9" ht="12.75" hidden="1">
      <c r="A69" s="3" t="s">
        <v>33</v>
      </c>
      <c r="B69" s="4"/>
      <c r="C69" s="4"/>
      <c r="D69" s="4"/>
      <c r="E69" s="4"/>
      <c r="F69" s="5" t="s">
        <v>34</v>
      </c>
      <c r="G69" s="4"/>
      <c r="H69" s="4"/>
      <c r="I69" s="6"/>
    </row>
    <row r="70" spans="1:9" ht="12.75" hidden="1">
      <c r="A70" s="7"/>
      <c r="B70" s="8"/>
      <c r="C70" s="8" t="s">
        <v>0</v>
      </c>
      <c r="D70" s="8"/>
      <c r="E70" s="8"/>
      <c r="F70" s="8"/>
      <c r="G70" s="8"/>
      <c r="H70" s="8" t="s">
        <v>0</v>
      </c>
      <c r="I70" s="9"/>
    </row>
    <row r="71" spans="1:9" ht="12.75" hidden="1">
      <c r="A71" s="10" t="s">
        <v>1</v>
      </c>
      <c r="B71" s="11">
        <f>'OY-BLB'!C45</f>
        <v>181.03999999999996</v>
      </c>
      <c r="C71" s="12">
        <f>IF(AND(B76&gt;=B71,B71&gt;=B75),(((C76-C75)/1000)*(B71))+C75,IF(AND(B77&gt;=B71,B71&gt;=B76),(((C77-C76)/1000)*(B71-1000))+C76,IF(AND(B78&gt;=B71,B71&gt;=B77),(((C78-C77)/1000)*(B71-B77))+C77,IF(AND(B79&gt;=B71,B71&gt;=B78),(((C79-C78)/1000)*(B71-B78))+C78,IF(AND(B80&gt;=B71,B71&gt;=B79),(((C80-C79)/1000)*(B71-B79))+C79,IF(AND(B81&gt;=B71,B71&gt;=B80),(((C81-C80)/1000)*(B71-B80))+C80,IF(AND(B82&gt;=B71,B71&gt;=B81),(((C82-C81)/1000)*(B71-B81))+C81,D71)))))))</f>
        <v>625.75048</v>
      </c>
      <c r="D71" s="12" t="str">
        <f>IF(B71&lt;0,C75,"UDENFOR TABEL !!!")</f>
        <v>UDENFOR TABEL !!!</v>
      </c>
      <c r="E71" s="12"/>
      <c r="F71" s="12" t="s">
        <v>1</v>
      </c>
      <c r="G71" s="11">
        <f>'OY-BLB'!G45</f>
        <v>0</v>
      </c>
      <c r="H71" s="12">
        <f>IF(AND(E76&gt;=G71,G71&gt;=E75),(((F76-F75)/1000)*(G71))+F75,IF(AND(E77&gt;=G71,G71&gt;=E76),(((F77-F76)/1000)*(G71-1000))+F76,IF(AND(E78&gt;=G71,G71&gt;=E77),(((F78-F77)/1000)*(G71-E77))+F77,IF(AND(E79&gt;=G71,G71&gt;=E78),(((F79-F78)/1000)*(G71-E78))+F78,IF(AND(E80&gt;=G71,G71&gt;=E79),(((F80-F79)/1000)*(G71-E79))+F79,IF(AND(E81&gt;=G71,G71&gt;=E80),(((F81-F80)/1000)*(G71-E80))+F80,IF(AND(E82&gt;=G71,G71&gt;=E81),(((F82-F81)/1000)*(G71-E81))+F81,I71)))))))</f>
        <v>383</v>
      </c>
      <c r="I71" s="12" t="str">
        <f>IF(G71&lt;0,F75,"UDENFOR TABEL !!!")</f>
        <v>UDENFOR TABEL !!!</v>
      </c>
    </row>
    <row r="72" spans="1:13" ht="12.75" hidden="1">
      <c r="A72" s="14"/>
      <c r="B72" s="14"/>
      <c r="C72" s="14"/>
      <c r="D72" s="14"/>
      <c r="E72" s="14"/>
      <c r="F72" s="14"/>
      <c r="G72" s="14"/>
      <c r="H72" s="14"/>
      <c r="I72" s="14"/>
      <c r="L72" t="s">
        <v>70</v>
      </c>
      <c r="M72" t="s">
        <v>71</v>
      </c>
    </row>
    <row r="73" spans="1:12" ht="12.75" hidden="1">
      <c r="A73" s="14"/>
      <c r="B73" s="3" t="s">
        <v>35</v>
      </c>
      <c r="C73" s="4"/>
      <c r="D73" s="4"/>
      <c r="E73" s="5" t="s">
        <v>36</v>
      </c>
      <c r="F73" s="6"/>
      <c r="G73" s="14"/>
      <c r="H73" s="14"/>
      <c r="I73" t="s">
        <v>72</v>
      </c>
      <c r="J73" s="14">
        <v>1056</v>
      </c>
      <c r="K73" s="14">
        <v>900</v>
      </c>
      <c r="L73">
        <f aca="true" t="shared" si="0" ref="L73:L82">J73-K73</f>
        <v>156</v>
      </c>
    </row>
    <row r="74" spans="1:12" ht="12.75" hidden="1">
      <c r="A74" s="14"/>
      <c r="B74" s="7" t="s">
        <v>2</v>
      </c>
      <c r="C74" s="8" t="s">
        <v>3</v>
      </c>
      <c r="D74" s="8"/>
      <c r="E74" s="8" t="s">
        <v>2</v>
      </c>
      <c r="F74" s="9" t="s">
        <v>3</v>
      </c>
      <c r="G74" s="14"/>
      <c r="H74" s="14"/>
      <c r="I74" s="14"/>
      <c r="J74" s="14"/>
      <c r="K74" s="14"/>
      <c r="L74">
        <f t="shared" si="0"/>
        <v>0</v>
      </c>
    </row>
    <row r="75" spans="1:13" ht="12.75" hidden="1">
      <c r="A75" s="14"/>
      <c r="B75" s="7">
        <v>0</v>
      </c>
      <c r="C75" s="99">
        <f aca="true" t="shared" si="1" ref="C75:C82">M75</f>
        <v>610</v>
      </c>
      <c r="D75" s="8"/>
      <c r="E75" s="8">
        <v>0</v>
      </c>
      <c r="F75" s="9">
        <v>383</v>
      </c>
      <c r="G75" s="14"/>
      <c r="H75" s="14"/>
      <c r="J75" s="8">
        <v>610</v>
      </c>
      <c r="K75" s="73">
        <f aca="true" t="shared" si="2" ref="K75:K82">J75*0.85</f>
        <v>518.5</v>
      </c>
      <c r="L75">
        <f t="shared" si="0"/>
        <v>91.5</v>
      </c>
      <c r="M75">
        <f aca="true" t="shared" si="3" ref="M75:M82">IF(AND($J$73&gt;=$L$66,$K$73&lt;=$L$66),(($L$66-$K$73)*(L75/$L$73))+K75,IF($L$66&lt;$K$73,J75,"UDENFOR TABEL !!!"))</f>
        <v>610</v>
      </c>
    </row>
    <row r="76" spans="1:13" ht="12.75" hidden="1">
      <c r="A76" s="14"/>
      <c r="B76" s="7">
        <v>1000</v>
      </c>
      <c r="C76" s="99">
        <f t="shared" si="1"/>
        <v>697</v>
      </c>
      <c r="D76" s="8"/>
      <c r="E76" s="8">
        <v>1000</v>
      </c>
      <c r="F76" s="9">
        <v>394</v>
      </c>
      <c r="G76" s="14"/>
      <c r="H76" s="14"/>
      <c r="J76" s="8">
        <v>697</v>
      </c>
      <c r="K76" s="73">
        <f t="shared" si="2"/>
        <v>592.4499999999999</v>
      </c>
      <c r="L76">
        <f t="shared" si="0"/>
        <v>104.55000000000007</v>
      </c>
      <c r="M76">
        <f t="shared" si="3"/>
        <v>697</v>
      </c>
    </row>
    <row r="77" spans="1:13" ht="12.75" hidden="1">
      <c r="A77" s="14"/>
      <c r="B77" s="7">
        <v>2000</v>
      </c>
      <c r="C77" s="99">
        <f t="shared" si="1"/>
        <v>784</v>
      </c>
      <c r="D77" s="8"/>
      <c r="E77" s="8">
        <v>2000</v>
      </c>
      <c r="F77" s="9">
        <v>401</v>
      </c>
      <c r="G77" s="14"/>
      <c r="H77" s="14"/>
      <c r="J77" s="8">
        <v>784</v>
      </c>
      <c r="K77" s="73">
        <f t="shared" si="2"/>
        <v>666.4</v>
      </c>
      <c r="L77">
        <f t="shared" si="0"/>
        <v>117.60000000000002</v>
      </c>
      <c r="M77">
        <f t="shared" si="3"/>
        <v>784</v>
      </c>
    </row>
    <row r="78" spans="1:13" ht="12.75" hidden="1">
      <c r="A78" s="14"/>
      <c r="B78" s="7">
        <v>3000</v>
      </c>
      <c r="C78" s="99">
        <f t="shared" si="1"/>
        <v>889</v>
      </c>
      <c r="D78" s="8"/>
      <c r="E78" s="8">
        <v>3000</v>
      </c>
      <c r="F78" s="9">
        <v>408</v>
      </c>
      <c r="G78" s="14"/>
      <c r="H78" s="14"/>
      <c r="J78" s="8">
        <v>889</v>
      </c>
      <c r="K78" s="73">
        <f t="shared" si="2"/>
        <v>755.65</v>
      </c>
      <c r="L78">
        <f t="shared" si="0"/>
        <v>133.35000000000002</v>
      </c>
      <c r="M78">
        <f t="shared" si="3"/>
        <v>889</v>
      </c>
    </row>
    <row r="79" spans="1:13" ht="12.75" hidden="1">
      <c r="A79" s="14"/>
      <c r="B79" s="7">
        <v>4000</v>
      </c>
      <c r="C79" s="99">
        <f t="shared" si="1"/>
        <v>976</v>
      </c>
      <c r="D79" s="8"/>
      <c r="E79" s="8">
        <v>4000</v>
      </c>
      <c r="F79" s="9">
        <v>415</v>
      </c>
      <c r="G79" s="14"/>
      <c r="H79" s="14"/>
      <c r="J79" s="8">
        <v>976</v>
      </c>
      <c r="K79" s="73">
        <f t="shared" si="2"/>
        <v>829.6</v>
      </c>
      <c r="L79">
        <f t="shared" si="0"/>
        <v>146.39999999999998</v>
      </c>
      <c r="M79">
        <f t="shared" si="3"/>
        <v>976</v>
      </c>
    </row>
    <row r="80" spans="1:13" ht="12.75" hidden="1">
      <c r="A80" s="14"/>
      <c r="B80" s="7">
        <v>5000</v>
      </c>
      <c r="C80" s="99">
        <f t="shared" si="1"/>
        <v>1098</v>
      </c>
      <c r="D80" s="8"/>
      <c r="E80" s="8">
        <v>5000</v>
      </c>
      <c r="F80" s="9">
        <v>422</v>
      </c>
      <c r="G80" s="14"/>
      <c r="H80" s="14"/>
      <c r="J80" s="8">
        <v>1098</v>
      </c>
      <c r="K80" s="73">
        <f t="shared" si="2"/>
        <v>933.3</v>
      </c>
      <c r="L80">
        <f t="shared" si="0"/>
        <v>164.70000000000005</v>
      </c>
      <c r="M80">
        <f t="shared" si="3"/>
        <v>1098</v>
      </c>
    </row>
    <row r="81" spans="1:13" ht="12.75" hidden="1">
      <c r="A81" s="14"/>
      <c r="B81" s="7">
        <v>6000</v>
      </c>
      <c r="C81" s="99">
        <f t="shared" si="1"/>
        <v>1220</v>
      </c>
      <c r="D81" s="8"/>
      <c r="E81" s="8">
        <v>6000</v>
      </c>
      <c r="F81" s="9">
        <v>425</v>
      </c>
      <c r="G81" s="14"/>
      <c r="H81" s="14"/>
      <c r="J81" s="8">
        <v>1220</v>
      </c>
      <c r="K81" s="73">
        <f t="shared" si="2"/>
        <v>1037</v>
      </c>
      <c r="L81">
        <f t="shared" si="0"/>
        <v>183</v>
      </c>
      <c r="M81">
        <f t="shared" si="3"/>
        <v>1220</v>
      </c>
    </row>
    <row r="82" spans="1:13" ht="12.75" hidden="1">
      <c r="A82" s="14"/>
      <c r="B82" s="10">
        <v>7000</v>
      </c>
      <c r="C82" s="100">
        <f t="shared" si="1"/>
        <v>1324</v>
      </c>
      <c r="D82" s="12"/>
      <c r="E82" s="12">
        <v>7000</v>
      </c>
      <c r="F82" s="13">
        <v>436</v>
      </c>
      <c r="G82" s="14"/>
      <c r="H82" s="14"/>
      <c r="J82" s="12">
        <v>1324</v>
      </c>
      <c r="K82" s="73">
        <f t="shared" si="2"/>
        <v>1125.3999999999999</v>
      </c>
      <c r="L82">
        <f t="shared" si="0"/>
        <v>198.60000000000014</v>
      </c>
      <c r="M82">
        <f t="shared" si="3"/>
        <v>1324</v>
      </c>
    </row>
    <row r="83" spans="3:7" ht="12.75" hidden="1">
      <c r="C83"/>
      <c r="G83"/>
    </row>
    <row r="84" spans="3:7" ht="12.75" hidden="1">
      <c r="C84"/>
      <c r="G84"/>
    </row>
    <row r="85" spans="3:7" ht="12.75" hidden="1">
      <c r="C85"/>
      <c r="G85"/>
    </row>
    <row r="86" spans="2:7" ht="12.75" hidden="1">
      <c r="B86" t="s">
        <v>69</v>
      </c>
      <c r="C86"/>
      <c r="G86"/>
    </row>
  </sheetData>
  <sheetProtection password="82A7" sheet="1" objects="1" scenarios="1" selectLockedCells="1"/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M22"/>
    </sheetView>
  </sheetViews>
  <sheetFormatPr defaultColWidth="9.140625" defaultRowHeight="12.75"/>
  <cols>
    <col min="9" max="9" width="13.0039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Trælasthandlerunionen - TUN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Palle Thomsen</dc:creator>
  <cp:keywords/>
  <dc:description/>
  <cp:lastModifiedBy>Palle Thomsen</cp:lastModifiedBy>
  <cp:lastPrinted>2006-11-04T12:25:35Z</cp:lastPrinted>
  <dcterms:created xsi:type="dcterms:W3CDTF">2006-11-03T12:09:43Z</dcterms:created>
  <dcterms:modified xsi:type="dcterms:W3CDTF">2006-11-07T09:19:16Z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